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0680" activeTab="0"/>
  </bookViews>
  <sheets>
    <sheet name="Hoja1" sheetId="1" r:id="rId1"/>
  </sheets>
  <definedNames>
    <definedName name="_xlfn.IFERROR" hidden="1">#NAME?</definedName>
    <definedName name="_xlnm.Print_Area" localSheetId="0">'Hoja1'!$A$1:$W$33</definedName>
  </definedNames>
  <calcPr fullCalcOnLoad="1"/>
</workbook>
</file>

<file path=xl/sharedStrings.xml><?xml version="1.0" encoding="utf-8"?>
<sst xmlns="http://schemas.openxmlformats.org/spreadsheetml/2006/main" count="80" uniqueCount="68">
  <si>
    <t>Sistema corredero</t>
  </si>
  <si>
    <t xml:space="preserve"> </t>
  </si>
  <si>
    <t>T</t>
  </si>
  <si>
    <t>Slight 10</t>
  </si>
  <si>
    <t>Wave 10</t>
  </si>
  <si>
    <t>Style 10</t>
  </si>
  <si>
    <t>Tri 16</t>
  </si>
  <si>
    <t>Quad 16</t>
  </si>
  <si>
    <t>Quad 18</t>
  </si>
  <si>
    <t>Vall 19</t>
  </si>
  <si>
    <t>Slight 16</t>
  </si>
  <si>
    <t>Wave 16</t>
  </si>
  <si>
    <t>Wave 16E</t>
  </si>
  <si>
    <t>Wave 18</t>
  </si>
  <si>
    <t>Wave 18E</t>
  </si>
  <si>
    <t>Sharp 16</t>
  </si>
  <si>
    <t>Hill 19</t>
  </si>
  <si>
    <t>Sharp 18E</t>
  </si>
  <si>
    <t>Line 19</t>
  </si>
  <si>
    <t>X (2P)</t>
  </si>
  <si>
    <t>X (3P)</t>
  </si>
  <si>
    <t>Tipo de puerta</t>
  </si>
  <si>
    <t>LISTAS DE VALIDACIÓN</t>
  </si>
  <si>
    <t>mm</t>
  </si>
  <si>
    <t>A=</t>
  </si>
  <si>
    <t>HI=</t>
  </si>
  <si>
    <t>CÁLCULO ANCHO PUERTAS</t>
  </si>
  <si>
    <t>Guarnición cristal</t>
  </si>
  <si>
    <t>Paragolpes:</t>
  </si>
  <si>
    <t>MENSAJE DE ERROR</t>
  </si>
  <si>
    <t>Perfil U/L</t>
  </si>
  <si>
    <t>Nº travesaños</t>
  </si>
  <si>
    <t>L travesaño:</t>
  </si>
  <si>
    <t>T-valor=L travesaño</t>
  </si>
  <si>
    <t>Resto</t>
  </si>
  <si>
    <t>CAMPOS A TRADUCIR</t>
  </si>
  <si>
    <t>Last update:</t>
  </si>
  <si>
    <t>October 2015</t>
  </si>
  <si>
    <t>PLACARD DOORS CALCULATION</t>
  </si>
  <si>
    <t>INSERT WARDROBE DATA</t>
  </si>
  <si>
    <t>Sliding system</t>
  </si>
  <si>
    <t>Interior width</t>
  </si>
  <si>
    <t>Interior height</t>
  </si>
  <si>
    <t>Door type</t>
  </si>
  <si>
    <t>Handle model</t>
  </si>
  <si>
    <t>Crosspiece number</t>
  </si>
  <si>
    <t>Height</t>
  </si>
  <si>
    <t>Width (T)</t>
  </si>
  <si>
    <t>Panel and/or glass *:</t>
  </si>
  <si>
    <t>* Equidistant crosspieces.</t>
  </si>
  <si>
    <t>Handle lenght (H)=</t>
  </si>
  <si>
    <t>Crosspiece length=</t>
  </si>
  <si>
    <t>DOOR CUTTING SIZES</t>
  </si>
  <si>
    <t>4mm glass</t>
  </si>
  <si>
    <t>Wood</t>
  </si>
  <si>
    <t>Wood +  4mm glass</t>
  </si>
  <si>
    <t>Down</t>
  </si>
  <si>
    <t>Up</t>
  </si>
  <si>
    <t>Up and down</t>
  </si>
  <si>
    <t>- WATCH OUT! It is not possible to assembly U profile on the upper part of the door.</t>
  </si>
  <si>
    <t xml:space="preserve"> - Do not forget to order handle profile bumper code 8920221.</t>
  </si>
  <si>
    <t>Classic Placard</t>
  </si>
  <si>
    <t>Classic Placard + Slowmove</t>
  </si>
  <si>
    <t>Groove Placard</t>
  </si>
  <si>
    <t>Groove Placard + Slowmove</t>
  </si>
  <si>
    <t>w/o U profile</t>
  </si>
  <si>
    <t>w/o L profile</t>
  </si>
  <si>
    <t>Nº of doors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</si>
</sst>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d&quot; de &quot;mmmm&quot; de &quot;yyyy"/>
    <numFmt numFmtId="166" formatCode="General\ &quot;mm&quot;"/>
    <numFmt numFmtId="167" formatCode="0.000"/>
    <numFmt numFmtId="168" formatCode="#,##0.00\ &quot;mm&quot;"/>
    <numFmt numFmtId="169" formatCode="0.00\ &quot;mm&quot;"/>
    <numFmt numFmtId="170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20"/>
      <name val="Century Gothic"/>
      <family val="2"/>
    </font>
    <font>
      <i/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entury Gothic"/>
      <family val="2"/>
    </font>
    <font>
      <b/>
      <i/>
      <sz val="11"/>
      <color indexed="9"/>
      <name val="Century Gothic"/>
      <family val="2"/>
    </font>
    <font>
      <sz val="11"/>
      <color indexed="9"/>
      <name val="Century Gothic"/>
      <family val="2"/>
    </font>
    <font>
      <sz val="11"/>
      <color indexed="8"/>
      <name val="Century Gothic"/>
      <family val="2"/>
    </font>
    <font>
      <sz val="8"/>
      <color indexed="9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sz val="8"/>
      <name val="Tahoma"/>
      <family val="2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entury Gothic"/>
      <family val="2"/>
    </font>
    <font>
      <b/>
      <i/>
      <sz val="11"/>
      <color theme="0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sz val="8"/>
      <color theme="0"/>
      <name val="Century Gothic"/>
      <family val="2"/>
    </font>
    <font>
      <i/>
      <sz val="9"/>
      <color theme="1"/>
      <name val="Century Gothic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vertical="center"/>
      <protection/>
    </xf>
    <xf numFmtId="0" fontId="61" fillId="35" borderId="0" xfId="0" applyFont="1" applyFill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0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5" fillId="0" borderId="0" xfId="0" applyFont="1" applyAlignment="1">
      <alignment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 quotePrefix="1">
      <alignment horizontal="left" vertical="center"/>
      <protection/>
    </xf>
    <xf numFmtId="0" fontId="2" fillId="37" borderId="0" xfId="0" applyFont="1" applyFill="1" applyAlignment="1" applyProtection="1" quotePrefix="1">
      <alignment vertical="center"/>
      <protection/>
    </xf>
    <xf numFmtId="0" fontId="62" fillId="37" borderId="0" xfId="0" applyFont="1" applyFill="1" applyAlignment="1" applyProtection="1">
      <alignment horizontal="left" vertical="center"/>
      <protection/>
    </xf>
    <xf numFmtId="0" fontId="62" fillId="37" borderId="0" xfId="0" applyFont="1" applyFill="1" applyAlignment="1" applyProtection="1" quotePrefix="1">
      <alignment horizontal="left" vertical="center"/>
      <protection/>
    </xf>
    <xf numFmtId="0" fontId="12" fillId="37" borderId="0" xfId="0" applyFont="1" applyFill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17" fontId="2" fillId="0" borderId="17" xfId="0" applyNumberFormat="1" applyFont="1" applyFill="1" applyBorder="1" applyAlignment="1" applyProtection="1" quotePrefix="1">
      <alignment horizontal="center" vertical="top" wrapText="1"/>
      <protection/>
    </xf>
    <xf numFmtId="17" fontId="2" fillId="0" borderId="18" xfId="0" applyNumberFormat="1" applyFont="1" applyFill="1" applyBorder="1" applyAlignment="1" applyProtection="1">
      <alignment horizontal="center" vertical="top" wrapText="1"/>
      <protection/>
    </xf>
    <xf numFmtId="17" fontId="2" fillId="0" borderId="19" xfId="0" applyNumberFormat="1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3" fontId="2" fillId="36" borderId="2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/>
        <u val="none"/>
        <strike val="0"/>
        <sz val="10"/>
        <name val="Arial"/>
        <color auto="1"/>
      </font>
    </dxf>
    <dxf>
      <font>
        <b/>
        <i val="0"/>
        <color rgb="FFFF000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123825</xdr:colOff>
      <xdr:row>3</xdr:row>
      <xdr:rowOff>152400</xdr:rowOff>
    </xdr:from>
    <xdr:to>
      <xdr:col>21</xdr:col>
      <xdr:colOff>552450</xdr:colOff>
      <xdr:row>15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1228725"/>
          <a:ext cx="1571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4</xdr:row>
      <xdr:rowOff>171450</xdr:rowOff>
    </xdr:from>
    <xdr:to>
      <xdr:col>17</xdr:col>
      <xdr:colOff>247650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457325"/>
          <a:ext cx="2276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10</xdr:row>
      <xdr:rowOff>95250</xdr:rowOff>
    </xdr:from>
    <xdr:to>
      <xdr:col>18</xdr:col>
      <xdr:colOff>533400</xdr:colOff>
      <xdr:row>14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2771775"/>
          <a:ext cx="3086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20</xdr:row>
      <xdr:rowOff>114300</xdr:rowOff>
    </xdr:from>
    <xdr:to>
      <xdr:col>21</xdr:col>
      <xdr:colOff>419100</xdr:colOff>
      <xdr:row>32</xdr:row>
      <xdr:rowOff>123825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5076825"/>
          <a:ext cx="5924550" cy="2505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20</xdr:row>
      <xdr:rowOff>57150</xdr:rowOff>
    </xdr:from>
    <xdr:to>
      <xdr:col>9</xdr:col>
      <xdr:colOff>28575</xdr:colOff>
      <xdr:row>32</xdr:row>
      <xdr:rowOff>171450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5019675"/>
          <a:ext cx="59436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28575</xdr:rowOff>
    </xdr:from>
    <xdr:to>
      <xdr:col>3</xdr:col>
      <xdr:colOff>552450</xdr:colOff>
      <xdr:row>2</xdr:row>
      <xdr:rowOff>257175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171450"/>
          <a:ext cx="203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15</xdr:row>
      <xdr:rowOff>104775</xdr:rowOff>
    </xdr:from>
    <xdr:to>
      <xdr:col>18</xdr:col>
      <xdr:colOff>485775</xdr:colOff>
      <xdr:row>20</xdr:row>
      <xdr:rowOff>28575</xdr:rowOff>
    </xdr:to>
    <xdr:pic>
      <xdr:nvPicPr>
        <xdr:cNvPr id="7" name="51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62950" y="4019550"/>
          <a:ext cx="2400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</xdr:row>
      <xdr:rowOff>133350</xdr:rowOff>
    </xdr:from>
    <xdr:to>
      <xdr:col>7</xdr:col>
      <xdr:colOff>581025</xdr:colOff>
      <xdr:row>21</xdr:row>
      <xdr:rowOff>85725</xdr:rowOff>
    </xdr:to>
    <xdr:sp>
      <xdr:nvSpPr>
        <xdr:cNvPr id="8" name="1 CuadroTexto"/>
        <xdr:cNvSpPr txBox="1">
          <a:spLocks noChangeArrowheads="1"/>
        </xdr:cNvSpPr>
      </xdr:nvSpPr>
      <xdr:spPr>
        <a:xfrm>
          <a:off x="2228850" y="5095875"/>
          <a:ext cx="2495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DOOR PROFILES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45"/>
  <sheetViews>
    <sheetView showGridLines="0" showRowColHeaders="0" tabSelected="1" zoomScale="93" zoomScaleNormal="93" zoomScaleSheetLayoutView="55" zoomScalePageLayoutView="0" workbookViewId="0" topLeftCell="A1">
      <selection activeCell="C8" sqref="C8:E8"/>
    </sheetView>
  </sheetViews>
  <sheetFormatPr defaultColWidth="4.7109375" defaultRowHeight="15"/>
  <cols>
    <col min="1" max="1" width="2.140625" style="2" customWidth="1"/>
    <col min="2" max="2" width="20.7109375" style="1" customWidth="1"/>
    <col min="3" max="3" width="6.7109375" style="1" customWidth="1"/>
    <col min="4" max="4" width="11.7109375" style="2" customWidth="1"/>
    <col min="5" max="5" width="10.57421875" style="2" customWidth="1"/>
    <col min="6" max="6" width="2.421875" style="2" customWidth="1"/>
    <col min="7" max="7" width="7.8515625" style="2" customWidth="1"/>
    <col min="8" max="8" width="20.28125" style="2" customWidth="1"/>
    <col min="9" max="9" width="8.57421875" style="1" customWidth="1"/>
    <col min="10" max="10" width="4.421875" style="2" customWidth="1"/>
    <col min="11" max="11" width="8.57421875" style="2" customWidth="1"/>
    <col min="12" max="12" width="5.00390625" style="2" customWidth="1"/>
    <col min="13" max="13" width="2.28125" style="2" customWidth="1"/>
    <col min="14" max="22" width="8.57421875" style="2" customWidth="1"/>
    <col min="23" max="23" width="7.28125" style="2" customWidth="1"/>
    <col min="24" max="24" width="7.28125" style="2" hidden="1" customWidth="1"/>
    <col min="25" max="25" width="23.140625" style="2" hidden="1" customWidth="1"/>
    <col min="26" max="26" width="8.8515625" style="2" hidden="1" customWidth="1"/>
    <col min="27" max="27" width="11.00390625" style="2" hidden="1" customWidth="1"/>
    <col min="28" max="31" width="7.28125" style="2" hidden="1" customWidth="1"/>
    <col min="32" max="32" width="13.140625" style="2" hidden="1" customWidth="1"/>
    <col min="33" max="33" width="10.140625" style="2" hidden="1" customWidth="1"/>
    <col min="34" max="34" width="8.7109375" style="1" hidden="1" customWidth="1"/>
    <col min="35" max="36" width="9.8515625" style="2" hidden="1" customWidth="1"/>
    <col min="37" max="37" width="13.421875" style="2" hidden="1" customWidth="1"/>
    <col min="38" max="38" width="21.7109375" style="2" hidden="1" customWidth="1"/>
    <col min="39" max="39" width="16.00390625" style="2" hidden="1" customWidth="1"/>
    <col min="40" max="40" width="4.7109375" style="2" hidden="1" customWidth="1"/>
    <col min="41" max="42" width="4.7109375" style="2" customWidth="1"/>
    <col min="43" max="43" width="9.421875" style="2" customWidth="1"/>
    <col min="44" max="50" width="4.7109375" style="2" customWidth="1"/>
    <col min="51" max="16384" width="4.7109375" style="2" customWidth="1"/>
  </cols>
  <sheetData>
    <row r="1" ht="11.25" customHeight="1" thickBot="1"/>
    <row r="2" spans="2:25" ht="36.75" customHeight="1">
      <c r="B2" s="49"/>
      <c r="C2" s="50"/>
      <c r="D2" s="51"/>
      <c r="E2" s="55" t="s">
        <v>38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61" t="s">
        <v>36</v>
      </c>
      <c r="T2" s="62"/>
      <c r="U2" s="62"/>
      <c r="V2" s="63"/>
      <c r="Y2" s="47" t="s">
        <v>35</v>
      </c>
    </row>
    <row r="3" spans="2:39" ht="36.75" customHeight="1" thickBot="1">
      <c r="B3" s="52"/>
      <c r="C3" s="53"/>
      <c r="D3" s="54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4" t="s">
        <v>37</v>
      </c>
      <c r="T3" s="65"/>
      <c r="U3" s="65"/>
      <c r="V3" s="66"/>
      <c r="W3" s="3"/>
      <c r="X3" s="3"/>
      <c r="Y3" s="25" t="s">
        <v>22</v>
      </c>
      <c r="Z3" s="25"/>
      <c r="AA3" s="25"/>
      <c r="AB3" s="25"/>
      <c r="AC3" s="25"/>
      <c r="AD3" s="3"/>
      <c r="AE3" s="3"/>
      <c r="AF3" s="25" t="s">
        <v>26</v>
      </c>
      <c r="AG3" s="26"/>
      <c r="AH3" s="26"/>
      <c r="AI3" s="26"/>
      <c r="AJ3" s="26"/>
      <c r="AK3" s="26"/>
      <c r="AL3" s="26"/>
      <c r="AM3" s="26"/>
    </row>
    <row r="4" spans="25:39" ht="16.5">
      <c r="Y4" s="5" t="s">
        <v>0</v>
      </c>
      <c r="AF4" s="4"/>
      <c r="AG4" s="1" t="s">
        <v>19</v>
      </c>
      <c r="AH4" s="1" t="s">
        <v>20</v>
      </c>
      <c r="AI4" s="1" t="s">
        <v>2</v>
      </c>
      <c r="AJ4" s="2" t="s">
        <v>27</v>
      </c>
      <c r="AK4" s="2" t="s">
        <v>28</v>
      </c>
      <c r="AL4" s="2" t="s">
        <v>33</v>
      </c>
      <c r="AM4" s="2" t="s">
        <v>32</v>
      </c>
    </row>
    <row r="5" spans="2:39" ht="16.5">
      <c r="B5" s="30" t="s">
        <v>39</v>
      </c>
      <c r="C5" s="20"/>
      <c r="D5" s="21"/>
      <c r="E5" s="21"/>
      <c r="F5" s="21"/>
      <c r="G5" s="6"/>
      <c r="H5" s="21" t="s">
        <v>52</v>
      </c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6"/>
      <c r="X5" s="6"/>
      <c r="Y5" s="39" t="s">
        <v>61</v>
      </c>
      <c r="Z5" s="8">
        <v>45</v>
      </c>
      <c r="AA5" s="6"/>
      <c r="AB5" s="6"/>
      <c r="AC5" s="6"/>
      <c r="AD5" s="6"/>
      <c r="AE5" s="6"/>
      <c r="AF5" s="2" t="s">
        <v>7</v>
      </c>
      <c r="AG5" s="1">
        <v>105</v>
      </c>
      <c r="AH5" s="1">
        <v>140</v>
      </c>
      <c r="AI5" s="1">
        <f>IF($C$8=2,($D$9-AG5)/2,($D$9-AH5)/3)</f>
        <v>607.5</v>
      </c>
      <c r="AJ5" s="2">
        <v>4001621</v>
      </c>
      <c r="AL5" s="2">
        <v>26</v>
      </c>
      <c r="AM5" s="2">
        <f>AI5-AL5</f>
        <v>581.5</v>
      </c>
    </row>
    <row r="6" spans="2:39" ht="15" customHeight="1">
      <c r="B6" s="9"/>
      <c r="C6" s="9"/>
      <c r="D6" s="8"/>
      <c r="E6" s="8"/>
      <c r="F6" s="8"/>
      <c r="G6" s="8"/>
      <c r="O6" s="23"/>
      <c r="P6" s="23"/>
      <c r="Q6" s="23"/>
      <c r="R6" s="23"/>
      <c r="S6" s="23"/>
      <c r="T6" s="23"/>
      <c r="U6" s="23"/>
      <c r="V6" s="23"/>
      <c r="W6" s="8"/>
      <c r="X6" s="8"/>
      <c r="Y6" s="39" t="s">
        <v>62</v>
      </c>
      <c r="Z6" s="8">
        <v>57</v>
      </c>
      <c r="AA6" s="8"/>
      <c r="AB6" s="8"/>
      <c r="AC6" s="8"/>
      <c r="AD6" s="8"/>
      <c r="AE6" s="8"/>
      <c r="AF6" s="2" t="s">
        <v>8</v>
      </c>
      <c r="AG6" s="1">
        <v>105</v>
      </c>
      <c r="AH6" s="1">
        <v>140</v>
      </c>
      <c r="AI6" s="1">
        <f aca="true" t="shared" si="0" ref="AI6:AI17">IF($C$8=2,($D$9-AG6)/2,($D$9-AH6)/3)</f>
        <v>607.5</v>
      </c>
      <c r="AJ6" s="2">
        <v>7917121</v>
      </c>
      <c r="AL6" s="2">
        <v>26</v>
      </c>
      <c r="AM6" s="2">
        <f aca="true" t="shared" si="1" ref="AM6:AM20">AI6-AL6</f>
        <v>581.5</v>
      </c>
    </row>
    <row r="7" spans="2:39" ht="19.5" customHeight="1">
      <c r="B7" s="18" t="s">
        <v>40</v>
      </c>
      <c r="C7" s="67" t="s">
        <v>61</v>
      </c>
      <c r="D7" s="67"/>
      <c r="E7" s="67"/>
      <c r="F7" s="6"/>
      <c r="G7" s="6"/>
      <c r="H7" s="18" t="s">
        <v>50</v>
      </c>
      <c r="I7" s="33">
        <f>$D$10-VLOOKUP($C$7,$Y$5:$Z$8,2,0)</f>
        <v>1455</v>
      </c>
      <c r="J7" s="19" t="s">
        <v>23</v>
      </c>
      <c r="O7" s="23"/>
      <c r="P7" s="23"/>
      <c r="Q7" s="23"/>
      <c r="R7" s="23"/>
      <c r="S7" s="23"/>
      <c r="T7" s="23"/>
      <c r="U7" s="23"/>
      <c r="V7" s="23"/>
      <c r="W7" s="8"/>
      <c r="X7" s="8"/>
      <c r="Y7" s="39" t="s">
        <v>63</v>
      </c>
      <c r="Z7" s="8">
        <v>42</v>
      </c>
      <c r="AA7" s="8"/>
      <c r="AB7" s="8"/>
      <c r="AC7" s="8"/>
      <c r="AD7" s="8"/>
      <c r="AE7" s="8"/>
      <c r="AF7" s="2" t="s">
        <v>15</v>
      </c>
      <c r="AG7" s="1">
        <v>45</v>
      </c>
      <c r="AH7" s="1">
        <v>60</v>
      </c>
      <c r="AI7" s="1">
        <f t="shared" si="0"/>
        <v>637.5</v>
      </c>
      <c r="AJ7" s="2">
        <v>4001621</v>
      </c>
      <c r="AL7" s="2">
        <v>20</v>
      </c>
      <c r="AM7" s="2">
        <f t="shared" si="1"/>
        <v>617.5</v>
      </c>
    </row>
    <row r="8" spans="2:39" ht="19.5" customHeight="1">
      <c r="B8" s="18" t="s">
        <v>67</v>
      </c>
      <c r="C8" s="68">
        <v>2</v>
      </c>
      <c r="D8" s="68"/>
      <c r="E8" s="68"/>
      <c r="F8" s="15"/>
      <c r="G8" s="15"/>
      <c r="H8" s="18" t="s">
        <v>51</v>
      </c>
      <c r="I8" s="33">
        <f>VLOOKUP($C$13,$AF$5:$AM$20,8,0)</f>
        <v>617.5</v>
      </c>
      <c r="J8" s="19" t="s">
        <v>23</v>
      </c>
      <c r="K8" s="23"/>
      <c r="L8" s="23"/>
      <c r="M8" s="23"/>
      <c r="O8" s="23"/>
      <c r="P8" s="23"/>
      <c r="Q8" s="23"/>
      <c r="R8" s="23"/>
      <c r="S8" s="23"/>
      <c r="T8" s="23"/>
      <c r="U8" s="23"/>
      <c r="V8" s="23"/>
      <c r="W8" s="8"/>
      <c r="X8" s="8"/>
      <c r="Y8" s="39" t="s">
        <v>64</v>
      </c>
      <c r="Z8" s="8">
        <v>54</v>
      </c>
      <c r="AA8" s="8"/>
      <c r="AB8" s="8"/>
      <c r="AC8" s="8"/>
      <c r="AD8" s="8"/>
      <c r="AE8" s="8"/>
      <c r="AF8" s="2" t="s">
        <v>17</v>
      </c>
      <c r="AG8" s="1">
        <v>45</v>
      </c>
      <c r="AH8" s="1">
        <v>60</v>
      </c>
      <c r="AI8" s="1">
        <f t="shared" si="0"/>
        <v>637.5</v>
      </c>
      <c r="AJ8" s="2">
        <v>7917121</v>
      </c>
      <c r="AL8" s="2">
        <v>20</v>
      </c>
      <c r="AM8" s="2">
        <f t="shared" si="1"/>
        <v>617.5</v>
      </c>
    </row>
    <row r="9" spans="2:39" ht="19.5" customHeight="1">
      <c r="B9" s="18" t="s">
        <v>41</v>
      </c>
      <c r="C9" s="32" t="s">
        <v>24</v>
      </c>
      <c r="D9" s="69">
        <v>1320</v>
      </c>
      <c r="E9" s="19" t="s">
        <v>23</v>
      </c>
      <c r="F9" s="8"/>
      <c r="G9" s="8"/>
      <c r="I9" s="23"/>
      <c r="J9" s="23"/>
      <c r="K9" s="23"/>
      <c r="L9" s="23"/>
      <c r="M9" s="23"/>
      <c r="O9" s="23"/>
      <c r="P9" s="23"/>
      <c r="Q9" s="23"/>
      <c r="R9" s="23"/>
      <c r="S9" s="23"/>
      <c r="T9" s="23"/>
      <c r="U9" s="23"/>
      <c r="V9" s="23"/>
      <c r="W9" s="8"/>
      <c r="X9" s="8"/>
      <c r="Y9" s="7"/>
      <c r="Z9" s="8"/>
      <c r="AA9" s="8"/>
      <c r="AB9" s="8"/>
      <c r="AC9" s="8"/>
      <c r="AD9" s="8"/>
      <c r="AE9" s="8"/>
      <c r="AF9" s="2" t="s">
        <v>3</v>
      </c>
      <c r="AG9" s="1">
        <v>42</v>
      </c>
      <c r="AH9" s="1">
        <v>52</v>
      </c>
      <c r="AI9" s="1">
        <f t="shared" si="0"/>
        <v>639</v>
      </c>
      <c r="AJ9" s="2">
        <v>4001621</v>
      </c>
      <c r="AL9" s="2">
        <v>12</v>
      </c>
      <c r="AM9" s="2">
        <f t="shared" si="1"/>
        <v>627</v>
      </c>
    </row>
    <row r="10" spans="2:39" ht="19.5" customHeight="1">
      <c r="B10" s="18" t="s">
        <v>42</v>
      </c>
      <c r="C10" s="32" t="s">
        <v>25</v>
      </c>
      <c r="D10" s="69">
        <v>1500</v>
      </c>
      <c r="E10" s="19" t="s">
        <v>23</v>
      </c>
      <c r="F10" s="6"/>
      <c r="G10" s="6"/>
      <c r="H10" s="29"/>
      <c r="I10" s="48" t="s">
        <v>46</v>
      </c>
      <c r="J10" s="48"/>
      <c r="K10" s="48" t="s">
        <v>47</v>
      </c>
      <c r="L10" s="48"/>
      <c r="N10" s="23"/>
      <c r="O10" s="23"/>
      <c r="P10" s="23"/>
      <c r="Q10" s="23"/>
      <c r="R10" s="23"/>
      <c r="S10" s="23"/>
      <c r="T10" s="23"/>
      <c r="U10" s="23"/>
      <c r="V10" s="23"/>
      <c r="W10" s="8"/>
      <c r="X10" s="8"/>
      <c r="Y10" s="8"/>
      <c r="Z10" s="8"/>
      <c r="AA10" s="8"/>
      <c r="AB10" s="8"/>
      <c r="AC10" s="8"/>
      <c r="AD10" s="8"/>
      <c r="AE10" s="8"/>
      <c r="AF10" s="2" t="s">
        <v>10</v>
      </c>
      <c r="AG10" s="1">
        <v>42</v>
      </c>
      <c r="AH10" s="1">
        <v>52</v>
      </c>
      <c r="AI10" s="1">
        <f t="shared" si="0"/>
        <v>639</v>
      </c>
      <c r="AJ10" s="2">
        <v>4001621</v>
      </c>
      <c r="AL10" s="2">
        <v>12</v>
      </c>
      <c r="AM10" s="2">
        <f t="shared" si="1"/>
        <v>627</v>
      </c>
    </row>
    <row r="11" spans="2:39" ht="19.5" customHeight="1">
      <c r="B11" s="17"/>
      <c r="E11" s="31"/>
      <c r="F11" s="15"/>
      <c r="G11" s="15"/>
      <c r="H11" s="18" t="s">
        <v>48</v>
      </c>
      <c r="I11" s="33">
        <f>($I$7-(1.5*$C$14)-(2*IF($C$15=$AA$31,2,IF(OR($C$15=$AA$29,$C$15=$AA$30),1,0))))/($C$14+1)</f>
        <v>726.75</v>
      </c>
      <c r="J11" s="19" t="s">
        <v>23</v>
      </c>
      <c r="K11" s="33">
        <f>VLOOKUP($C$13,$AF$5:$AI$20,4,0)</f>
        <v>637.5</v>
      </c>
      <c r="L11" s="19" t="s">
        <v>23</v>
      </c>
      <c r="N11" s="23"/>
      <c r="O11" s="23"/>
      <c r="P11" s="23"/>
      <c r="Q11" s="23"/>
      <c r="R11" s="23"/>
      <c r="S11" s="23"/>
      <c r="T11" s="23"/>
      <c r="U11" s="23"/>
      <c r="V11" s="23"/>
      <c r="W11" s="8"/>
      <c r="X11" s="8"/>
      <c r="Y11" s="11" t="s">
        <v>21</v>
      </c>
      <c r="Z11" s="8"/>
      <c r="AA11" s="8"/>
      <c r="AB11" s="8"/>
      <c r="AC11" s="8"/>
      <c r="AD11" s="8"/>
      <c r="AE11" s="8"/>
      <c r="AF11" s="2" t="s">
        <v>5</v>
      </c>
      <c r="AG11" s="1">
        <v>16</v>
      </c>
      <c r="AH11" s="1">
        <v>35</v>
      </c>
      <c r="AI11" s="1">
        <f>IF($C$8=2,($D$9+AG11)/2,($D$9+AH11)/3)</f>
        <v>668</v>
      </c>
      <c r="AJ11" s="2">
        <v>4001621</v>
      </c>
      <c r="AL11" s="2">
        <v>22</v>
      </c>
      <c r="AM11" s="2">
        <f t="shared" si="1"/>
        <v>646</v>
      </c>
    </row>
    <row r="12" spans="2:39" ht="19.5" customHeight="1">
      <c r="B12" s="18" t="s">
        <v>43</v>
      </c>
      <c r="C12" s="70" t="s">
        <v>54</v>
      </c>
      <c r="D12" s="70"/>
      <c r="E12" s="70"/>
      <c r="F12" s="12"/>
      <c r="G12" s="12"/>
      <c r="H12" s="35" t="s">
        <v>49</v>
      </c>
      <c r="I12"/>
      <c r="J12"/>
      <c r="K12"/>
      <c r="L12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8"/>
      <c r="X12" s="8"/>
      <c r="Y12" s="40" t="s">
        <v>53</v>
      </c>
      <c r="Z12" s="8"/>
      <c r="AA12" s="8"/>
      <c r="AB12" s="8"/>
      <c r="AC12" s="8"/>
      <c r="AD12" s="8"/>
      <c r="AE12" s="8"/>
      <c r="AF12" s="2" t="s">
        <v>6</v>
      </c>
      <c r="AG12" s="1">
        <v>45</v>
      </c>
      <c r="AH12" s="1">
        <v>60</v>
      </c>
      <c r="AI12" s="1">
        <f t="shared" si="0"/>
        <v>637.5</v>
      </c>
      <c r="AJ12" s="2">
        <v>4001621</v>
      </c>
      <c r="AL12" s="2">
        <v>24</v>
      </c>
      <c r="AM12" s="2">
        <f t="shared" si="1"/>
        <v>613.5</v>
      </c>
    </row>
    <row r="13" spans="2:39" ht="19.5" customHeight="1">
      <c r="B13" s="18" t="s">
        <v>44</v>
      </c>
      <c r="C13" s="68" t="s">
        <v>15</v>
      </c>
      <c r="D13" s="68"/>
      <c r="E13" s="68"/>
      <c r="F13" s="6"/>
      <c r="G13" s="6"/>
      <c r="H13"/>
      <c r="I13"/>
      <c r="J13"/>
      <c r="K13"/>
      <c r="L13"/>
      <c r="M13" s="28"/>
      <c r="N13" s="23"/>
      <c r="O13" s="23"/>
      <c r="P13" s="23"/>
      <c r="Q13" s="23"/>
      <c r="R13" s="23"/>
      <c r="S13" s="23"/>
      <c r="T13" s="23"/>
      <c r="U13" s="23"/>
      <c r="V13" s="23"/>
      <c r="W13" s="8"/>
      <c r="X13" s="8"/>
      <c r="Y13" s="40" t="s">
        <v>54</v>
      </c>
      <c r="Z13" s="8"/>
      <c r="AA13" s="8"/>
      <c r="AB13" s="8"/>
      <c r="AC13" s="8"/>
      <c r="AD13" s="8"/>
      <c r="AE13" s="8"/>
      <c r="AF13" s="2" t="s">
        <v>4</v>
      </c>
      <c r="AG13" s="1">
        <v>64</v>
      </c>
      <c r="AH13" s="1">
        <v>86</v>
      </c>
      <c r="AI13" s="1">
        <f t="shared" si="0"/>
        <v>628</v>
      </c>
      <c r="AJ13" s="2">
        <v>4001621</v>
      </c>
      <c r="AL13" s="2">
        <v>24</v>
      </c>
      <c r="AM13" s="2">
        <f t="shared" si="1"/>
        <v>604</v>
      </c>
    </row>
    <row r="14" spans="2:39" ht="19.5" customHeight="1">
      <c r="B14" s="18" t="s">
        <v>45</v>
      </c>
      <c r="C14" s="68">
        <v>1</v>
      </c>
      <c r="D14" s="68"/>
      <c r="E14" s="68"/>
      <c r="F14" s="15"/>
      <c r="G14" s="15"/>
      <c r="N14" s="23"/>
      <c r="O14" s="23"/>
      <c r="P14" s="23"/>
      <c r="Q14" s="23"/>
      <c r="R14" s="23"/>
      <c r="S14" s="23"/>
      <c r="T14" s="23"/>
      <c r="U14" s="23"/>
      <c r="V14" s="23"/>
      <c r="W14" s="13"/>
      <c r="X14" s="13"/>
      <c r="Y14" s="40" t="s">
        <v>55</v>
      </c>
      <c r="Z14" s="13"/>
      <c r="AA14" s="13"/>
      <c r="AB14" s="13"/>
      <c r="AC14" s="13"/>
      <c r="AD14" s="13"/>
      <c r="AE14" s="13"/>
      <c r="AF14" s="2" t="s">
        <v>11</v>
      </c>
      <c r="AG14" s="1">
        <v>64</v>
      </c>
      <c r="AH14" s="1">
        <v>86</v>
      </c>
      <c r="AI14" s="1">
        <f t="shared" si="0"/>
        <v>628</v>
      </c>
      <c r="AJ14" s="2">
        <v>4001621</v>
      </c>
      <c r="AL14" s="2">
        <v>24</v>
      </c>
      <c r="AM14" s="2">
        <f t="shared" si="1"/>
        <v>604</v>
      </c>
    </row>
    <row r="15" spans="2:39" ht="19.5" customHeight="1">
      <c r="B15" s="18" t="str">
        <f>IF($C$12=$Y$12,"L profile","U profile")</f>
        <v>U profile</v>
      </c>
      <c r="C15" s="68" t="s">
        <v>65</v>
      </c>
      <c r="D15" s="68"/>
      <c r="E15" s="68"/>
      <c r="F15" s="27"/>
      <c r="G15" s="4"/>
      <c r="N15" s="23"/>
      <c r="O15" s="23"/>
      <c r="P15" s="23"/>
      <c r="Q15" s="23"/>
      <c r="R15" s="23"/>
      <c r="S15" s="23"/>
      <c r="T15" s="23"/>
      <c r="U15" s="23"/>
      <c r="V15" s="23"/>
      <c r="W15" s="13"/>
      <c r="X15" s="13"/>
      <c r="AE15" s="13"/>
      <c r="AF15" s="2" t="s">
        <v>12</v>
      </c>
      <c r="AG15" s="1">
        <v>64</v>
      </c>
      <c r="AH15" s="1">
        <v>86</v>
      </c>
      <c r="AI15" s="1">
        <f t="shared" si="0"/>
        <v>628</v>
      </c>
      <c r="AJ15" s="2">
        <v>4001621</v>
      </c>
      <c r="AL15" s="2">
        <v>24</v>
      </c>
      <c r="AM15" s="2">
        <f t="shared" si="1"/>
        <v>604</v>
      </c>
    </row>
    <row r="16" spans="5:39" ht="16.5">
      <c r="E16" s="8"/>
      <c r="F16" s="6"/>
      <c r="G16" s="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0"/>
      <c r="X16" s="10"/>
      <c r="Y16" s="8" t="s">
        <v>31</v>
      </c>
      <c r="Z16" s="13"/>
      <c r="AA16"/>
      <c r="AB16"/>
      <c r="AC16"/>
      <c r="AD16" s="13"/>
      <c r="AE16" s="10"/>
      <c r="AF16" s="2" t="s">
        <v>13</v>
      </c>
      <c r="AG16" s="1">
        <v>64</v>
      </c>
      <c r="AH16" s="1">
        <v>86</v>
      </c>
      <c r="AI16" s="1">
        <f t="shared" si="0"/>
        <v>628</v>
      </c>
      <c r="AJ16" s="2">
        <v>7917121</v>
      </c>
      <c r="AL16" s="2">
        <v>24</v>
      </c>
      <c r="AM16" s="2">
        <f t="shared" si="1"/>
        <v>604</v>
      </c>
    </row>
    <row r="17" spans="2:39" ht="16.5">
      <c r="B17" s="23">
        <f>IF(B18="","","Comments:")</f>
      </c>
      <c r="C17" s="23"/>
      <c r="D17" s="23"/>
      <c r="E17" s="15"/>
      <c r="F17" s="15"/>
      <c r="G17" s="1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6"/>
      <c r="X17" s="6"/>
      <c r="Y17">
        <v>0</v>
      </c>
      <c r="Z17"/>
      <c r="AA17"/>
      <c r="AB17"/>
      <c r="AC17"/>
      <c r="AD17" s="10"/>
      <c r="AE17" s="6"/>
      <c r="AF17" s="2" t="s">
        <v>14</v>
      </c>
      <c r="AG17" s="1">
        <v>64</v>
      </c>
      <c r="AH17" s="1">
        <v>86</v>
      </c>
      <c r="AI17" s="1">
        <f t="shared" si="0"/>
        <v>628</v>
      </c>
      <c r="AJ17" s="2">
        <v>7917121</v>
      </c>
      <c r="AL17" s="2">
        <v>24</v>
      </c>
      <c r="AM17" s="2">
        <f t="shared" si="1"/>
        <v>604</v>
      </c>
    </row>
    <row r="18" spans="2:39" ht="16.5">
      <c r="B18" s="34">
        <f>_xlfn.IFERROR(VLOOKUP("S1",$AD$24:$AF$27,3,0),"")</f>
      </c>
      <c r="C18" s="23"/>
      <c r="D18" s="23"/>
      <c r="E18" s="6"/>
      <c r="F18" s="6"/>
      <c r="G18" s="6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>
        <v>1</v>
      </c>
      <c r="Z18"/>
      <c r="AA18"/>
      <c r="AB18"/>
      <c r="AC18"/>
      <c r="AD18" s="6"/>
      <c r="AE18" s="8" t="s">
        <v>16</v>
      </c>
      <c r="AF18" s="2">
        <f>IF(OR($C$7=$Y$5,$C$7=$Y$6,$C$12=$Y$12),"",AE18)</f>
      </c>
      <c r="AG18" s="1">
        <v>30</v>
      </c>
      <c r="AH18" s="1">
        <v>62</v>
      </c>
      <c r="AI18" s="1">
        <f>IF($C$8=2,($D$9+AG18)/2,($D$9+AH18)/3)</f>
        <v>675</v>
      </c>
      <c r="AJ18" s="2">
        <v>7917121</v>
      </c>
      <c r="AK18" s="4"/>
      <c r="AL18" s="2">
        <v>68</v>
      </c>
      <c r="AM18" s="2">
        <f t="shared" si="1"/>
        <v>607</v>
      </c>
    </row>
    <row r="19" spans="2:39" ht="16.5">
      <c r="B19" s="34">
        <f>IF(OR($B$18=$AF$24,$B$18=$AF$25),"",_xlfn.IFERROR(VLOOKUP("S2",$AD$24:$AF$27,3,0),""))</f>
      </c>
      <c r="C19" s="23"/>
      <c r="D19" s="23"/>
      <c r="E19" s="6"/>
      <c r="F19" s="6"/>
      <c r="G19" s="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"/>
      <c r="X19" s="8"/>
      <c r="Y19">
        <v>2</v>
      </c>
      <c r="Z19"/>
      <c r="AA19"/>
      <c r="AB19"/>
      <c r="AC19"/>
      <c r="AD19" s="8"/>
      <c r="AE19" s="8" t="s">
        <v>18</v>
      </c>
      <c r="AF19" s="2">
        <f>IF(OR($C$7=$Y$5,$C$7=$Y$6,$C$12=$Y$12),"",AE19)</f>
      </c>
      <c r="AG19" s="1">
        <v>16</v>
      </c>
      <c r="AH19" s="1">
        <v>34</v>
      </c>
      <c r="AI19" s="1">
        <f>IF($C$8=2,($D$9+AG19)/2,($D$9+AH19)/3)</f>
        <v>668</v>
      </c>
      <c r="AJ19" s="2">
        <v>7917121</v>
      </c>
      <c r="AL19" s="2">
        <v>36</v>
      </c>
      <c r="AM19" s="2">
        <f t="shared" si="1"/>
        <v>632</v>
      </c>
    </row>
    <row r="20" spans="2:39" ht="16.5">
      <c r="B20" s="34">
        <f>_xlfn.IFERROR(VLOOKUP(3,$AE$24:$AF$27,2,0),"")</f>
      </c>
      <c r="C20" s="23"/>
      <c r="D20" s="23"/>
      <c r="E20" s="15"/>
      <c r="F20" s="15"/>
      <c r="G20" s="1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"/>
      <c r="X20" s="8"/>
      <c r="Y20">
        <v>3</v>
      </c>
      <c r="Z20"/>
      <c r="AA20"/>
      <c r="AB20"/>
      <c r="AC20"/>
      <c r="AD20" s="8"/>
      <c r="AE20" s="8" t="s">
        <v>9</v>
      </c>
      <c r="AF20" s="2">
        <f>IF(OR($C$7=$Y$5,$C$7=$Y$6,$C$12=$Y$12),"",AE20)</f>
      </c>
      <c r="AG20" s="1">
        <v>16</v>
      </c>
      <c r="AH20" s="1">
        <v>42</v>
      </c>
      <c r="AI20" s="1">
        <f>IF($C$8=2,($D$9+AG20)/2,($D$9+AH20)/3)</f>
        <v>668</v>
      </c>
      <c r="AJ20" s="2">
        <v>7917121</v>
      </c>
      <c r="AK20" s="2">
        <v>8920221</v>
      </c>
      <c r="AL20" s="2">
        <v>62</v>
      </c>
      <c r="AM20" s="2">
        <f t="shared" si="1"/>
        <v>606</v>
      </c>
    </row>
    <row r="21" spans="2:30" ht="16.5">
      <c r="B21" s="23"/>
      <c r="C21" s="23"/>
      <c r="D21" s="23"/>
      <c r="E21" s="15"/>
      <c r="F21" s="15"/>
      <c r="G21" s="15"/>
      <c r="N21" s="23"/>
      <c r="O21" s="23"/>
      <c r="P21" s="23"/>
      <c r="Q21" s="23"/>
      <c r="R21" s="23"/>
      <c r="S21" s="23"/>
      <c r="T21" s="23"/>
      <c r="U21" s="23"/>
      <c r="V21" s="23"/>
      <c r="Y21">
        <v>4</v>
      </c>
      <c r="Z21"/>
      <c r="AA21"/>
      <c r="AB21"/>
      <c r="AC21"/>
      <c r="AD21" s="8"/>
    </row>
    <row r="22" spans="2:31" ht="16.5">
      <c r="B22" s="23"/>
      <c r="C22" s="23"/>
      <c r="D22" s="23"/>
      <c r="E22" s="6"/>
      <c r="F22" s="6"/>
      <c r="G22" s="6"/>
      <c r="N22" s="23"/>
      <c r="O22" s="23"/>
      <c r="P22" s="23"/>
      <c r="Q22" s="23"/>
      <c r="R22" s="23"/>
      <c r="S22" s="23"/>
      <c r="T22" s="23"/>
      <c r="U22" s="23"/>
      <c r="V22" s="23"/>
      <c r="W22" s="3"/>
      <c r="X22" s="3"/>
      <c r="Y22">
        <v>5</v>
      </c>
      <c r="Z22"/>
      <c r="AA22"/>
      <c r="AB22"/>
      <c r="AC22"/>
      <c r="AD22" s="1"/>
      <c r="AE22" s="3"/>
    </row>
    <row r="23" spans="2:36" ht="16.5">
      <c r="B23" s="23"/>
      <c r="C23" s="23"/>
      <c r="D23" s="23"/>
      <c r="E23" s="15"/>
      <c r="F23" s="15"/>
      <c r="G23" s="15"/>
      <c r="N23" s="23"/>
      <c r="O23" s="23"/>
      <c r="P23" s="23"/>
      <c r="Q23" s="23"/>
      <c r="R23" s="23"/>
      <c r="S23" s="23"/>
      <c r="T23" s="23"/>
      <c r="U23" s="23"/>
      <c r="V23" s="23"/>
      <c r="W23" s="3"/>
      <c r="X23" s="3"/>
      <c r="Y23"/>
      <c r="Z23"/>
      <c r="AA23"/>
      <c r="AB23"/>
      <c r="AC23"/>
      <c r="AD23" s="16"/>
      <c r="AE23" s="3"/>
      <c r="AF23" s="2" t="s">
        <v>29</v>
      </c>
      <c r="AI23" s="1"/>
      <c r="AJ23" s="1"/>
    </row>
    <row r="24" spans="2:36" ht="16.5">
      <c r="B24" s="23"/>
      <c r="C24" s="23"/>
      <c r="D24" s="23"/>
      <c r="E24" s="3"/>
      <c r="F24" s="3"/>
      <c r="G24" s="3"/>
      <c r="N24" s="23"/>
      <c r="O24" s="23"/>
      <c r="P24" s="23"/>
      <c r="Q24" s="23"/>
      <c r="R24" s="23"/>
      <c r="S24" s="23"/>
      <c r="T24" s="23"/>
      <c r="U24" s="23"/>
      <c r="V24" s="23"/>
      <c r="W24" s="3"/>
      <c r="X24" s="3"/>
      <c r="Y24"/>
      <c r="Z24"/>
      <c r="AA24"/>
      <c r="AB24"/>
      <c r="AC24"/>
      <c r="AD24" s="16" t="str">
        <f>AE24&amp;COUNTIF($AE$24:$AE$27,AE24)-COUNTIF(AE24:$AE$27,AE24)+1</f>
        <v>N1</v>
      </c>
      <c r="AE24" s="16" t="str">
        <f>IF(AND(OR($C$13=$AE$18,$C$13=$AE$19,$C$13=$AE$20),OR($C$7=$Y$5,$C$7=$Y$6,$C$12=$Y$12)),"S","N")</f>
        <v>N</v>
      </c>
      <c r="AF24" s="41" t="str">
        <f>"- WATCH OUT! "&amp;IF(OR($C$7=$Y$5,$C$7=$Y$6),$C$7,$Y$12)&amp;" version is not compatible with 19mm handles."</f>
        <v>- WATCH OUT! Classic Placard version is not compatible with 19mm handles.</v>
      </c>
      <c r="AI24" s="1"/>
      <c r="AJ24" s="1"/>
    </row>
    <row r="25" spans="2:32" ht="16.5">
      <c r="B25" s="23"/>
      <c r="C25" s="23"/>
      <c r="D25" s="23"/>
      <c r="E25" s="6"/>
      <c r="F25" s="6"/>
      <c r="G25" s="6"/>
      <c r="N25" s="23"/>
      <c r="O25" s="23"/>
      <c r="P25" s="23"/>
      <c r="Q25" s="23"/>
      <c r="R25" s="23"/>
      <c r="S25" s="23"/>
      <c r="T25" s="23"/>
      <c r="U25" s="23"/>
      <c r="V25" s="23"/>
      <c r="W25" s="3"/>
      <c r="X25" s="3"/>
      <c r="Y25" s="3"/>
      <c r="Z25" s="3"/>
      <c r="AA25"/>
      <c r="AB25"/>
      <c r="AC25"/>
      <c r="AD25" s="16" t="str">
        <f>AE25&amp;COUNTIF($AE$24:$AE$27,AE25)-COUNTIF(AE25:$AE$27,AE25)+1</f>
        <v>N2</v>
      </c>
      <c r="AE25" s="1" t="str">
        <f>IF($C$12=$Y$12,"N",IF(OR($C$15=$AA$30,$C$15=$AA$31),"S","N"))</f>
        <v>N</v>
      </c>
      <c r="AF25" s="42" t="s">
        <v>59</v>
      </c>
    </row>
    <row r="26" spans="2:36" ht="15" customHeight="1">
      <c r="B26" s="23"/>
      <c r="C26" s="23"/>
      <c r="D26" s="23"/>
      <c r="E26" s="15"/>
      <c r="F26" s="15"/>
      <c r="G26" s="15"/>
      <c r="N26" s="23"/>
      <c r="O26" s="23"/>
      <c r="P26" s="23"/>
      <c r="Q26" s="23"/>
      <c r="R26" s="23"/>
      <c r="S26" s="23"/>
      <c r="T26" s="23"/>
      <c r="U26" s="23"/>
      <c r="V26" s="23"/>
      <c r="Z26" s="3"/>
      <c r="AA26" s="3"/>
      <c r="AB26" s="3"/>
      <c r="AC26" s="3"/>
      <c r="AD26" s="16" t="str">
        <f>AE26&amp;COUNTIF($AE$24:$AE$27,AE26)-COUNTIF(AE26:$AE$27,AE26)+1</f>
        <v>N3</v>
      </c>
      <c r="AE26" s="16" t="str">
        <f>IF($C$12=$Y$14,"S","N")</f>
        <v>N</v>
      </c>
      <c r="AF26" s="43" t="str">
        <f>" - Do not forget glass gasket code "&amp;VLOOKUP($C$13,$AF$5:$AJ$20,5,0)&amp;"."</f>
        <v> - Do not forget glass gasket code 4001621.</v>
      </c>
      <c r="AI26" s="1"/>
      <c r="AJ26" s="1"/>
    </row>
    <row r="27" spans="2:36" ht="16.5">
      <c r="B27" s="23"/>
      <c r="C27" s="23"/>
      <c r="D27" s="23"/>
      <c r="E27" s="3"/>
      <c r="F27" s="3"/>
      <c r="G27" s="3"/>
      <c r="N27" s="23"/>
      <c r="O27" s="23"/>
      <c r="P27" s="23"/>
      <c r="Q27" s="23"/>
      <c r="R27" s="23"/>
      <c r="S27" s="23"/>
      <c r="T27" s="23"/>
      <c r="U27" s="23"/>
      <c r="V27" s="23"/>
      <c r="Y27" s="11" t="s">
        <v>30</v>
      </c>
      <c r="Z27" s="37" t="s">
        <v>34</v>
      </c>
      <c r="AA27" s="38" t="str">
        <f>Y12</f>
        <v>4mm glass</v>
      </c>
      <c r="AB27" s="3"/>
      <c r="AD27" s="16" t="str">
        <f>AE27&amp;COUNTIF($AE$24:$AE$27,AE27)-COUNTIF(AE27:$AE$27,AE27)+1</f>
        <v>N4</v>
      </c>
      <c r="AE27" s="16" t="str">
        <f>IF($C$13=$AE$20,"S","N")</f>
        <v>N</v>
      </c>
      <c r="AF27" s="44" t="s">
        <v>60</v>
      </c>
      <c r="AI27" s="1"/>
      <c r="AJ27" s="1"/>
    </row>
    <row r="28" spans="2:30" ht="16.5">
      <c r="B28" s="23"/>
      <c r="C28" s="23"/>
      <c r="D28" s="23"/>
      <c r="E28" s="6"/>
      <c r="F28" s="6"/>
      <c r="G28" s="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Y28" s="36" t="str">
        <f>IF($C$12=$Y$12,AA28,Z28)</f>
        <v>w/o U profile</v>
      </c>
      <c r="Z28" s="45" t="s">
        <v>65</v>
      </c>
      <c r="AA28" s="45" t="s">
        <v>66</v>
      </c>
      <c r="AD28" s="1"/>
    </row>
    <row r="29" spans="2:27" ht="16.5">
      <c r="B29" s="23"/>
      <c r="C29" s="23"/>
      <c r="D29" s="23"/>
      <c r="E29" s="15"/>
      <c r="F29" s="15"/>
      <c r="G29" s="15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Y29" s="36" t="str">
        <f>IF($C$12=$Y$12,AA29,Z29)</f>
        <v>Down</v>
      </c>
      <c r="Z29" s="46" t="s">
        <v>56</v>
      </c>
      <c r="AA29" s="46" t="s">
        <v>56</v>
      </c>
    </row>
    <row r="30" spans="2:27" ht="16.5">
      <c r="B30" s="23"/>
      <c r="C30" s="23"/>
      <c r="D30" s="23"/>
      <c r="Y30" s="36" t="str">
        <f>IF($C$12=$Y$12,AA30,Z30)</f>
        <v> </v>
      </c>
      <c r="Z30" s="46" t="s">
        <v>1</v>
      </c>
      <c r="AA30" s="46" t="s">
        <v>57</v>
      </c>
    </row>
    <row r="31" spans="25:27" ht="16.5">
      <c r="Y31" s="36" t="str">
        <f>IF($C$12=$Y$12,AA31,Z31)</f>
        <v> </v>
      </c>
      <c r="Z31" s="46" t="s">
        <v>1</v>
      </c>
      <c r="AA31" s="46" t="s">
        <v>58</v>
      </c>
    </row>
    <row r="32" ht="16.5"/>
    <row r="33" ht="16.5"/>
    <row r="34" spans="31:46" ht="16.5"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2:34" ht="16.5">
      <c r="B35" s="24"/>
      <c r="C35" s="24"/>
      <c r="D35" s="24"/>
      <c r="E35" s="24"/>
      <c r="F35" s="24"/>
      <c r="G35" s="24"/>
      <c r="H35" s="3"/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4"/>
    </row>
    <row r="36" spans="2:34" ht="16.5">
      <c r="B36" s="24"/>
      <c r="C36" s="24"/>
      <c r="D36" s="24"/>
      <c r="E36" s="24"/>
      <c r="F36" s="24"/>
      <c r="G36" s="24"/>
      <c r="H36" s="3"/>
      <c r="I36" s="16"/>
      <c r="J36" s="3" t="s">
        <v>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H36" s="14"/>
    </row>
    <row r="37" spans="2:34" ht="16.5">
      <c r="B37" s="24"/>
      <c r="C37" s="24"/>
      <c r="D37" s="24"/>
      <c r="E37" s="24"/>
      <c r="F37" s="24"/>
      <c r="G37" s="2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H37" s="14"/>
    </row>
    <row r="38" spans="2:34" ht="16.5">
      <c r="B38" s="24"/>
      <c r="C38" s="24"/>
      <c r="D38" s="24"/>
      <c r="E38" s="24"/>
      <c r="F38" s="24"/>
      <c r="G38" s="2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H38" s="14"/>
    </row>
    <row r="39" spans="2:34" ht="16.5">
      <c r="B39" s="24"/>
      <c r="C39" s="24"/>
      <c r="D39" s="24"/>
      <c r="E39" s="24"/>
      <c r="F39" s="24"/>
      <c r="G39" s="2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H39" s="14"/>
    </row>
    <row r="40" spans="2:34" ht="16.5">
      <c r="B40" s="24"/>
      <c r="C40" s="24"/>
      <c r="D40" s="24"/>
      <c r="E40" s="24"/>
      <c r="F40" s="24"/>
      <c r="G40" s="24"/>
      <c r="AH40" s="14"/>
    </row>
    <row r="41" spans="2:34" ht="16.5">
      <c r="B41" s="24"/>
      <c r="C41" s="24"/>
      <c r="D41" s="24"/>
      <c r="E41" s="24"/>
      <c r="F41" s="24"/>
      <c r="G41" s="24"/>
      <c r="AH41" s="14"/>
    </row>
    <row r="42" spans="2:34" ht="16.5">
      <c r="B42" s="24"/>
      <c r="C42" s="24"/>
      <c r="D42" s="24"/>
      <c r="E42" s="24"/>
      <c r="F42" s="24"/>
      <c r="G42" s="24"/>
      <c r="AH42" s="14"/>
    </row>
    <row r="43" spans="2:34" ht="16.5">
      <c r="B43" s="24"/>
      <c r="C43" s="24"/>
      <c r="D43" s="24"/>
      <c r="E43" s="24"/>
      <c r="F43" s="24"/>
      <c r="G43" s="24"/>
      <c r="AH43" s="14"/>
    </row>
    <row r="44" spans="2:34" ht="16.5">
      <c r="B44" s="24"/>
      <c r="C44" s="24"/>
      <c r="D44" s="24"/>
      <c r="E44" s="24"/>
      <c r="F44" s="24"/>
      <c r="G44" s="24"/>
      <c r="AH44" s="14"/>
    </row>
    <row r="45" spans="2:7" ht="16.5">
      <c r="B45" s="24"/>
      <c r="C45" s="24"/>
      <c r="D45" s="24"/>
      <c r="E45" s="24"/>
      <c r="F45" s="24"/>
      <c r="G45" s="24"/>
    </row>
  </sheetData>
  <sheetProtection password="E99A" sheet="1" objects="1" scenarios="1" selectLockedCells="1"/>
  <mergeCells count="12">
    <mergeCell ref="B2:D3"/>
    <mergeCell ref="E2:R3"/>
    <mergeCell ref="S2:V2"/>
    <mergeCell ref="S3:V3"/>
    <mergeCell ref="C7:E7"/>
    <mergeCell ref="C8:E8"/>
    <mergeCell ref="C13:E13"/>
    <mergeCell ref="C14:E14"/>
    <mergeCell ref="C15:E15"/>
    <mergeCell ref="I10:J10"/>
    <mergeCell ref="K10:L10"/>
    <mergeCell ref="C12:E12"/>
  </mergeCells>
  <conditionalFormatting sqref="B18">
    <cfRule type="expression" priority="3" dxfId="4" stopIfTrue="1">
      <formula>OR($B$18=$AF$24,$B$18=$AF$25)</formula>
    </cfRule>
  </conditionalFormatting>
  <conditionalFormatting sqref="H5:M12">
    <cfRule type="expression" priority="2" dxfId="5" stopIfTrue="1">
      <formula>OR($AE$24="S",$AE$25="S")</formula>
    </cfRule>
  </conditionalFormatting>
  <conditionalFormatting sqref="H8:J8">
    <cfRule type="expression" priority="1" dxfId="5" stopIfTrue="1">
      <formula>$C$14=0</formula>
    </cfRule>
  </conditionalFormatting>
  <dataValidations count="6">
    <dataValidation type="list" allowBlank="1" showInputMessage="1" showErrorMessage="1" sqref="C8">
      <formula1>"2,3"</formula1>
    </dataValidation>
    <dataValidation type="list" allowBlank="1" showInputMessage="1" showErrorMessage="1" sqref="C7">
      <formula1>$Y$5:$Y$8</formula1>
    </dataValidation>
    <dataValidation type="list" allowBlank="1" showInputMessage="1" showErrorMessage="1" sqref="C12">
      <formula1>$Y$12:$Y$14</formula1>
    </dataValidation>
    <dataValidation type="list" allowBlank="1" showInputMessage="1" showErrorMessage="1" sqref="C15:E15">
      <formula1>$Y$28:$Y$31</formula1>
    </dataValidation>
    <dataValidation type="list" allowBlank="1" showInputMessage="1" showErrorMessage="1" sqref="C13:E13">
      <formula1>$AF$5:$AF$20</formula1>
    </dataValidation>
    <dataValidation type="list" allowBlank="1" showInputMessage="1" showErrorMessage="1" sqref="C14:E14">
      <formula1>$Y$17:$Y$25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Martínez</dc:creator>
  <cp:keywords/>
  <dc:description/>
  <cp:lastModifiedBy>Lorena Lorenzo</cp:lastModifiedBy>
  <cp:lastPrinted>2012-04-18T11:03:46Z</cp:lastPrinted>
  <dcterms:created xsi:type="dcterms:W3CDTF">2012-02-27T15:39:38Z</dcterms:created>
  <dcterms:modified xsi:type="dcterms:W3CDTF">2015-10-21T15:26:23Z</dcterms:modified>
  <cp:category/>
  <cp:version/>
  <cp:contentType/>
  <cp:contentStatus/>
</cp:coreProperties>
</file>